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ropbox\0. Icke, WalkAway, BLM, etc\"/>
    </mc:Choice>
  </mc:AlternateContent>
  <xr:revisionPtr revIDLastSave="0" documentId="8_{A84DCB98-8B22-4150-8B3F-EC3669789ABC}" xr6:coauthVersionLast="47" xr6:coauthVersionMax="47" xr10:uidLastSave="{00000000-0000-0000-0000-000000000000}"/>
  <bookViews>
    <workbookView xWindow="-93" yWindow="-93" windowWidth="25786" windowHeight="13866" xr2:uid="{31128A9E-38F7-4DD8-B3F5-B17BBF3F3E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 s="1"/>
  <c r="J86" i="1"/>
  <c r="H86" i="1"/>
  <c r="C86" i="1" s="1"/>
  <c r="I86" i="1" s="1"/>
  <c r="G86" i="1"/>
  <c r="F86" i="1"/>
  <c r="E86" i="1"/>
  <c r="D86" i="1"/>
  <c r="H84" i="1"/>
  <c r="C84" i="1" s="1"/>
  <c r="H83" i="1"/>
  <c r="I83" i="1" s="1"/>
  <c r="C83" i="1"/>
  <c r="K83" i="1" s="1"/>
  <c r="H82" i="1"/>
  <c r="C82" i="1" s="1"/>
  <c r="H81" i="1"/>
  <c r="I81" i="1" s="1"/>
  <c r="C81" i="1"/>
  <c r="K81" i="1" s="1"/>
  <c r="H80" i="1"/>
  <c r="C80" i="1" s="1"/>
  <c r="H79" i="1"/>
  <c r="I79" i="1" s="1"/>
  <c r="C79" i="1"/>
  <c r="K79" i="1" s="1"/>
  <c r="H78" i="1"/>
  <c r="C78" i="1" s="1"/>
  <c r="J68" i="1"/>
  <c r="H68" i="1"/>
  <c r="C68" i="1" s="1"/>
  <c r="G68" i="1"/>
  <c r="F69" i="1" s="1"/>
  <c r="F70" i="1" s="1"/>
  <c r="F68" i="1"/>
  <c r="E68" i="1"/>
  <c r="D68" i="1"/>
  <c r="H66" i="1"/>
  <c r="C66" i="1" s="1"/>
  <c r="K66" i="1" s="1"/>
  <c r="H65" i="1"/>
  <c r="I65" i="1" s="1"/>
  <c r="C65" i="1"/>
  <c r="K65" i="1" s="1"/>
  <c r="H64" i="1"/>
  <c r="C64" i="1" s="1"/>
  <c r="K64" i="1" s="1"/>
  <c r="H63" i="1"/>
  <c r="I63" i="1" s="1"/>
  <c r="C63" i="1"/>
  <c r="K63" i="1" s="1"/>
  <c r="H62" i="1"/>
  <c r="C62" i="1" s="1"/>
  <c r="K62" i="1" s="1"/>
  <c r="H61" i="1"/>
  <c r="I61" i="1" s="1"/>
  <c r="C61" i="1"/>
  <c r="K61" i="1" s="1"/>
  <c r="H60" i="1"/>
  <c r="C60" i="1" s="1"/>
  <c r="K60" i="1" s="1"/>
  <c r="J50" i="1"/>
  <c r="G50" i="1"/>
  <c r="H50" i="1" s="1"/>
  <c r="F50" i="1"/>
  <c r="F51" i="1" s="1"/>
  <c r="E50" i="1"/>
  <c r="D50" i="1"/>
  <c r="H48" i="1"/>
  <c r="I48" i="1" s="1"/>
  <c r="C48" i="1"/>
  <c r="K48" i="1" s="1"/>
  <c r="K47" i="1"/>
  <c r="H47" i="1"/>
  <c r="C47" i="1"/>
  <c r="I47" i="1" s="1"/>
  <c r="H46" i="1"/>
  <c r="I46" i="1" s="1"/>
  <c r="C46" i="1"/>
  <c r="K46" i="1" s="1"/>
  <c r="K45" i="1"/>
  <c r="H45" i="1"/>
  <c r="C45" i="1"/>
  <c r="I45" i="1" s="1"/>
  <c r="H44" i="1"/>
  <c r="I44" i="1" s="1"/>
  <c r="C44" i="1"/>
  <c r="K44" i="1" s="1"/>
  <c r="K43" i="1"/>
  <c r="H43" i="1"/>
  <c r="C43" i="1"/>
  <c r="I43" i="1" s="1"/>
  <c r="H42" i="1"/>
  <c r="I42" i="1" s="1"/>
  <c r="C42" i="1"/>
  <c r="K42" i="1" s="1"/>
  <c r="J33" i="1"/>
  <c r="G33" i="1"/>
  <c r="F33" i="1"/>
  <c r="F34" i="1" s="1"/>
  <c r="E33" i="1"/>
  <c r="H33" i="1" s="1"/>
  <c r="D33" i="1"/>
  <c r="H31" i="1"/>
  <c r="I31" i="1" s="1"/>
  <c r="C31" i="1"/>
  <c r="K31" i="1" s="1"/>
  <c r="H30" i="1"/>
  <c r="C30" i="1" s="1"/>
  <c r="H29" i="1"/>
  <c r="I29" i="1" s="1"/>
  <c r="C29" i="1"/>
  <c r="K29" i="1" s="1"/>
  <c r="H28" i="1"/>
  <c r="C28" i="1" s="1"/>
  <c r="H27" i="1"/>
  <c r="I27" i="1" s="1"/>
  <c r="C27" i="1"/>
  <c r="K27" i="1" s="1"/>
  <c r="H26" i="1"/>
  <c r="C26" i="1" s="1"/>
  <c r="H25" i="1"/>
  <c r="I25" i="1" s="1"/>
  <c r="C25" i="1"/>
  <c r="K25" i="1" s="1"/>
  <c r="O15" i="1"/>
  <c r="O14" i="1"/>
  <c r="P14" i="1" s="1"/>
  <c r="M14" i="1"/>
  <c r="K14" i="1"/>
  <c r="J14" i="1"/>
  <c r="I14" i="1"/>
  <c r="F14" i="1"/>
  <c r="G14" i="1" s="1"/>
  <c r="E14" i="1"/>
  <c r="O13" i="1"/>
  <c r="P13" i="1" s="1"/>
  <c r="M13" i="1"/>
  <c r="L13" i="1"/>
  <c r="H13" i="1"/>
  <c r="I13" i="1" s="1"/>
  <c r="F13" i="1"/>
  <c r="G13" i="1" s="1"/>
  <c r="E13" i="1"/>
  <c r="D13" i="1"/>
  <c r="C13" i="1"/>
  <c r="L12" i="1"/>
  <c r="J12" i="1" s="1"/>
  <c r="K12" i="1" s="1"/>
  <c r="H12" i="1"/>
  <c r="D12" i="1"/>
  <c r="F12" i="1" s="1"/>
  <c r="G12" i="1" s="1"/>
  <c r="C12" i="1"/>
  <c r="I12" i="1" s="1"/>
  <c r="L11" i="1"/>
  <c r="M11" i="1" s="1"/>
  <c r="H11" i="1"/>
  <c r="I11" i="1" s="1"/>
  <c r="D11" i="1"/>
  <c r="F11" i="1" s="1"/>
  <c r="G11" i="1" s="1"/>
  <c r="C11" i="1"/>
  <c r="O11" i="1" s="1"/>
  <c r="P11" i="1" s="1"/>
  <c r="O10" i="1"/>
  <c r="P10" i="1" s="1"/>
  <c r="M10" i="1"/>
  <c r="L10" i="1"/>
  <c r="H10" i="1"/>
  <c r="J10" i="1" s="1"/>
  <c r="K10" i="1" s="1"/>
  <c r="F10" i="1"/>
  <c r="G10" i="1" s="1"/>
  <c r="E10" i="1"/>
  <c r="D10" i="1"/>
  <c r="C10" i="1"/>
  <c r="L9" i="1"/>
  <c r="M9" i="1" s="1"/>
  <c r="J9" i="1"/>
  <c r="K9" i="1" s="1"/>
  <c r="H9" i="1"/>
  <c r="D9" i="1"/>
  <c r="E9" i="1" s="1"/>
  <c r="C9" i="1"/>
  <c r="I9" i="1" s="1"/>
  <c r="P8" i="1"/>
  <c r="O8" i="1"/>
  <c r="L8" i="1"/>
  <c r="L16" i="1" s="1"/>
  <c r="H8" i="1"/>
  <c r="I8" i="1" s="1"/>
  <c r="G8" i="1"/>
  <c r="F8" i="1"/>
  <c r="D8" i="1"/>
  <c r="D16" i="1" s="1"/>
  <c r="C8" i="1"/>
  <c r="M8" i="1" s="1"/>
  <c r="I30" i="1" l="1"/>
  <c r="K30" i="1"/>
  <c r="K80" i="1"/>
  <c r="I80" i="1"/>
  <c r="I26" i="1"/>
  <c r="K26" i="1"/>
  <c r="K84" i="1"/>
  <c r="I84" i="1"/>
  <c r="F52" i="1"/>
  <c r="C50" i="1"/>
  <c r="I50" i="1" s="1"/>
  <c r="I82" i="1"/>
  <c r="K82" i="1"/>
  <c r="C33" i="1"/>
  <c r="K33" i="1" s="1"/>
  <c r="I28" i="1"/>
  <c r="K28" i="1"/>
  <c r="K50" i="1"/>
  <c r="K68" i="1"/>
  <c r="K86" i="1"/>
  <c r="M16" i="1"/>
  <c r="K78" i="1"/>
  <c r="I78" i="1"/>
  <c r="I60" i="1"/>
  <c r="I64" i="1"/>
  <c r="I68" i="1"/>
  <c r="J11" i="1"/>
  <c r="K11" i="1" s="1"/>
  <c r="M12" i="1"/>
  <c r="J8" i="1"/>
  <c r="F9" i="1"/>
  <c r="G9" i="1" s="1"/>
  <c r="I10" i="1"/>
  <c r="J13" i="1"/>
  <c r="K13" i="1" s="1"/>
  <c r="C16" i="1"/>
  <c r="O16" i="1" s="1"/>
  <c r="P16" i="1" s="1"/>
  <c r="E11" i="1"/>
  <c r="H16" i="1"/>
  <c r="I62" i="1"/>
  <c r="I66" i="1"/>
  <c r="E12" i="1"/>
  <c r="O12" i="1"/>
  <c r="P12" i="1" s="1"/>
  <c r="O9" i="1"/>
  <c r="P9" i="1" s="1"/>
  <c r="E8" i="1"/>
  <c r="K8" i="1" l="1"/>
  <c r="J16" i="1"/>
  <c r="K16" i="1" s="1"/>
  <c r="I33" i="1"/>
  <c r="I16" i="1"/>
  <c r="F35" i="1"/>
  <c r="E16" i="1"/>
  <c r="F16" i="1"/>
  <c r="G16" i="1" s="1"/>
</calcChain>
</file>

<file path=xl/sharedStrings.xml><?xml version="1.0" encoding="utf-8"?>
<sst xmlns="http://schemas.openxmlformats.org/spreadsheetml/2006/main" count="127" uniqueCount="67">
  <si>
    <t>NOTE: MANDATORY TESTING ENDED ON 1ST APRIL, SO THE DATA ON THIS PAGE IS NO LONGER PUBLISHED AFTER THAT DATE</t>
  </si>
  <si>
    <t>Vaccination uptake in England as at 27th March 2022 - p.85</t>
  </si>
  <si>
    <t>https://assets.publishing.service.gov.uk/government/uploads/system/uploads/attachment_data/file/1065232/Weekly_Flu_and_COVID-19_report_w13.pdf</t>
  </si>
  <si>
    <t>Vaccination uptake</t>
  </si>
  <si>
    <t>Number in NIMS cohort</t>
  </si>
  <si>
    <t xml:space="preserve">At least 1st dose </t>
  </si>
  <si>
    <t>% of cohort</t>
  </si>
  <si>
    <t>Stopped at 1 dose</t>
  </si>
  <si>
    <t>At least 2 doses</t>
  </si>
  <si>
    <t>Only had 2 doses</t>
  </si>
  <si>
    <t>3rd dose / booster</t>
  </si>
  <si>
    <t>Unvaccinated</t>
  </si>
  <si>
    <t>18-29</t>
  </si>
  <si>
    <t>30-39</t>
  </si>
  <si>
    <t>40-49</t>
  </si>
  <si>
    <t>50-59</t>
  </si>
  <si>
    <t>60-69</t>
  </si>
  <si>
    <t>70-79</t>
  </si>
  <si>
    <t>80+</t>
  </si>
  <si>
    <t>Totals</t>
  </si>
  <si>
    <t>Cases, hospitalisations &amp; deaths in England - data for the 4 weeks to 27th March 2022 - p.</t>
  </si>
  <si>
    <t>https://assets.publishing.service.gov.uk/government/uploads/system/uploads/attachment_data/file/1066759/Vaccine-surveillance-report-week-13.pdf</t>
  </si>
  <si>
    <t xml:space="preserve">ALL reports: </t>
  </si>
  <si>
    <t xml:space="preserve">https://www.gov.uk/government/publications/covid-19-vaccine-weekly-surveillance-reports </t>
  </si>
  <si>
    <t>Cases</t>
  </si>
  <si>
    <t>Total cases</t>
  </si>
  <si>
    <t>Had 1 dose 1-20 days before specimen</t>
  </si>
  <si>
    <t>Had 1 dose at least 21 days before specimen</t>
  </si>
  <si>
    <t>Had 2nd dose at least 14 days before specimen</t>
  </si>
  <si>
    <t>Had 3rd dose at least 14 days before specimen</t>
  </si>
  <si>
    <t>Total vaccinated cases</t>
  </si>
  <si>
    <t>% of total cases</t>
  </si>
  <si>
    <t>81.8% of over-18s have been vaccinated and they represent 93.2% of cases.</t>
  </si>
  <si>
    <t>18.2% are unvaccinated and represent 6.8% of cases.  For the 40-49 age group, 19.6% are unvaccinated and they represent just 6.3% of cases.</t>
  </si>
  <si>
    <t>78.7% of over-18s have had 2 or 3 shots, and they represent 91.3% of cases</t>
  </si>
  <si>
    <t>For the 40-49 age group, 77.7% have had 2 or 3 shots and they represent 93.7% of cases</t>
  </si>
  <si>
    <t>Overnight hospital admissions</t>
  </si>
  <si>
    <t>Total admissions</t>
  </si>
  <si>
    <t>Total vaccinated admissions</t>
  </si>
  <si>
    <t>% of total admissions</t>
  </si>
  <si>
    <t>81.8% of over-18s have been vaccinated and they represent 88.1% of hospital admissions</t>
  </si>
  <si>
    <t>78.7% of over-18s have had 2 or 3 shots, and they represent 85.2% of hospital admissions</t>
  </si>
  <si>
    <t>For the 40-49 age group, 77.7%% have had 2 or 3 shots and represent 78.3% of admissions</t>
  </si>
  <si>
    <t>18.2% of over-18s are unvaccinated and they represent 11.9% of hospital admissions</t>
  </si>
  <si>
    <t>For the 40-49 age group, 19.6% are unvaccinated and represent 21.7% of admissions</t>
  </si>
  <si>
    <t>Deaths within 28 days</t>
  </si>
  <si>
    <t>Total deaths</t>
  </si>
  <si>
    <t>Total vaccinated deaths</t>
  </si>
  <si>
    <t>% of total deaths</t>
  </si>
  <si>
    <t>81.8% of over-18s have been vaccinated and they represent 90% of deaths within 28 days</t>
  </si>
  <si>
    <t>78.7% of over-18s have had 2 or 3 shots, and they represent 87.8% of deaths</t>
  </si>
  <si>
    <t>18.2% of over-18s are unvaccinated and they represent 10% of deaths</t>
  </si>
  <si>
    <t>Deaths within 60 days</t>
  </si>
  <si>
    <t>81.8% of over-18s have been vaccinated and they represent 92.1% of deaths within 60 days</t>
  </si>
  <si>
    <t>78.7% of over-18s have had 2 or 3 shots, and they represent 90% of deaths within 60 days</t>
  </si>
  <si>
    <t>18.2% of over-18s are unvaccinated and they represent 7.9% of deaths within 60 days</t>
  </si>
  <si>
    <t>For the 40-49 age group, 19.6% are unvaccinated and represent 18.3% of deaths within 60 days</t>
  </si>
  <si>
    <r>
      <t>The double or triple jabbed - 78.7</t>
    </r>
    <r>
      <rPr>
        <b/>
        <sz val="11"/>
        <color theme="1"/>
        <rFont val="Calibri"/>
        <family val="2"/>
        <scheme val="minor"/>
      </rPr>
      <t>% of</t>
    </r>
    <r>
      <rPr>
        <sz val="11"/>
        <color theme="1"/>
        <rFont val="Calibri"/>
        <family val="2"/>
        <scheme val="minor"/>
      </rPr>
      <t xml:space="preserve"> over-18s - represent: </t>
    </r>
  </si>
  <si>
    <r>
      <rPr>
        <sz val="11"/>
        <color rgb="FFFF0000"/>
        <rFont val="Calibri"/>
        <family val="2"/>
        <scheme val="minor"/>
      </rPr>
      <t>91.3%</t>
    </r>
    <r>
      <rPr>
        <sz val="11"/>
        <color theme="1"/>
        <rFont val="Calibri"/>
        <family val="2"/>
        <scheme val="minor"/>
      </rPr>
      <t xml:space="preserve"> of cases</t>
    </r>
  </si>
  <si>
    <r>
      <rPr>
        <sz val="11"/>
        <color rgb="FFFF0000"/>
        <rFont val="Calibri"/>
        <family val="2"/>
        <scheme val="minor"/>
      </rPr>
      <t xml:space="preserve">85.2% </t>
    </r>
    <r>
      <rPr>
        <sz val="11"/>
        <color theme="1"/>
        <rFont val="Calibri"/>
        <family val="2"/>
        <scheme val="minor"/>
      </rPr>
      <t>of hospitalisations</t>
    </r>
  </si>
  <si>
    <r>
      <rPr>
        <sz val="11"/>
        <color rgb="FFFF0000"/>
        <rFont val="Calibri"/>
        <family val="2"/>
        <scheme val="minor"/>
      </rPr>
      <t>87.8%</t>
    </r>
    <r>
      <rPr>
        <sz val="11"/>
        <color theme="1"/>
        <rFont val="Calibri"/>
        <family val="2"/>
        <scheme val="minor"/>
      </rPr>
      <t xml:space="preserve"> of deaths within 28 days</t>
    </r>
  </si>
  <si>
    <r>
      <rPr>
        <sz val="11"/>
        <color rgb="FFFF0000"/>
        <rFont val="Calibri"/>
        <family val="2"/>
        <scheme val="minor"/>
      </rPr>
      <t>90%</t>
    </r>
    <r>
      <rPr>
        <sz val="11"/>
        <color theme="1"/>
        <rFont val="Calibri"/>
        <family val="2"/>
        <scheme val="minor"/>
      </rPr>
      <t xml:space="preserve"> of deaths within 60 days</t>
    </r>
  </si>
  <si>
    <r>
      <t xml:space="preserve">The unvaccinated - </t>
    </r>
    <r>
      <rPr>
        <b/>
        <sz val="11"/>
        <color theme="1"/>
        <rFont val="Calibri"/>
        <family val="2"/>
        <scheme val="minor"/>
      </rPr>
      <t>18.2%</t>
    </r>
    <r>
      <rPr>
        <sz val="11"/>
        <color theme="1"/>
        <rFont val="Calibri"/>
        <family val="2"/>
        <scheme val="minor"/>
      </rPr>
      <t xml:space="preserve"> of over-18s - represent:</t>
    </r>
  </si>
  <si>
    <r>
      <rPr>
        <sz val="11"/>
        <color rgb="FF00B050"/>
        <rFont val="Calibri"/>
        <family val="2"/>
        <scheme val="minor"/>
      </rPr>
      <t xml:space="preserve">6.8% </t>
    </r>
    <r>
      <rPr>
        <sz val="11"/>
        <color theme="1"/>
        <rFont val="Calibri"/>
        <family val="2"/>
        <scheme val="minor"/>
      </rPr>
      <t>of cases</t>
    </r>
  </si>
  <si>
    <r>
      <rPr>
        <sz val="11"/>
        <color rgb="FF00B050"/>
        <rFont val="Calibri"/>
        <family val="2"/>
        <scheme val="minor"/>
      </rPr>
      <t xml:space="preserve">11.9% </t>
    </r>
    <r>
      <rPr>
        <sz val="11"/>
        <color theme="1"/>
        <rFont val="Calibri"/>
        <family val="2"/>
        <scheme val="minor"/>
      </rPr>
      <t>of hospitalisations</t>
    </r>
  </si>
  <si>
    <r>
      <rPr>
        <sz val="11"/>
        <color rgb="FF00B050"/>
        <rFont val="Calibri"/>
        <family val="2"/>
        <scheme val="minor"/>
      </rPr>
      <t>10%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of deaths within 28 days</t>
    </r>
  </si>
  <si>
    <r>
      <rPr>
        <sz val="11"/>
        <color rgb="FF00B050"/>
        <rFont val="Calibri"/>
        <family val="2"/>
        <scheme val="minor"/>
      </rPr>
      <t xml:space="preserve">7.9% </t>
    </r>
    <r>
      <rPr>
        <sz val="11"/>
        <color theme="1"/>
        <rFont val="Calibri"/>
        <family val="2"/>
        <scheme val="minor"/>
      </rPr>
      <t>of deaths within 60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</si>
</sst>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1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3" fontId="0" fillId="2" borderId="2" xfId="0" applyNumberFormat="1" applyFill="1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64" fontId="0" fillId="3" borderId="3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3" xfId="0" applyNumberFormat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4" fontId="0" fillId="4" borderId="3" xfId="0" applyNumberForma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164" fontId="0" fillId="5" borderId="3" xfId="0" applyNumberForma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164" fontId="0" fillId="6" borderId="3" xfId="0" applyNumberForma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/>
    </xf>
    <xf numFmtId="3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 applyAlignment="1">
      <alignment horizontal="left"/>
    </xf>
    <xf numFmtId="3" fontId="0" fillId="3" borderId="5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3" fontId="0" fillId="4" borderId="5" xfId="0" applyNumberForma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3" fontId="0" fillId="5" borderId="5" xfId="0" applyNumberFormat="1" applyFill="1" applyBorder="1" applyAlignment="1">
      <alignment horizontal="left"/>
    </xf>
    <xf numFmtId="164" fontId="0" fillId="5" borderId="6" xfId="0" applyNumberFormat="1" applyFill="1" applyBorder="1"/>
    <xf numFmtId="3" fontId="0" fillId="6" borderId="5" xfId="0" applyNumberFormat="1" applyFill="1" applyBorder="1" applyAlignment="1">
      <alignment horizontal="left"/>
    </xf>
    <xf numFmtId="164" fontId="0" fillId="6" borderId="6" xfId="0" applyNumberFormat="1" applyFill="1" applyBorder="1" applyAlignment="1">
      <alignment horizontal="left"/>
    </xf>
    <xf numFmtId="0" fontId="0" fillId="7" borderId="0" xfId="0" applyFill="1"/>
    <xf numFmtId="3" fontId="0" fillId="7" borderId="4" xfId="0" applyNumberFormat="1" applyFill="1" applyBorder="1" applyAlignment="1">
      <alignment horizontal="left"/>
    </xf>
    <xf numFmtId="3" fontId="0" fillId="7" borderId="5" xfId="0" applyNumberFormat="1" applyFill="1" applyBorder="1" applyAlignment="1">
      <alignment horizontal="left"/>
    </xf>
    <xf numFmtId="164" fontId="0" fillId="7" borderId="6" xfId="0" applyNumberFormat="1" applyFill="1" applyBorder="1" applyAlignment="1">
      <alignment horizontal="left"/>
    </xf>
    <xf numFmtId="164" fontId="0" fillId="7" borderId="6" xfId="0" applyNumberFormat="1" applyFill="1" applyBorder="1"/>
    <xf numFmtId="3" fontId="0" fillId="0" borderId="7" xfId="0" applyNumberFormat="1" applyBorder="1"/>
    <xf numFmtId="3" fontId="0" fillId="2" borderId="8" xfId="0" applyNumberFormat="1" applyFill="1" applyBorder="1"/>
    <xf numFmtId="164" fontId="0" fillId="2" borderId="9" xfId="0" applyNumberFormat="1" applyFill="1" applyBorder="1" applyAlignment="1">
      <alignment horizontal="left"/>
    </xf>
    <xf numFmtId="0" fontId="0" fillId="3" borderId="8" xfId="0" applyFill="1" applyBorder="1"/>
    <xf numFmtId="164" fontId="0" fillId="3" borderId="9" xfId="0" applyNumberFormat="1" applyFill="1" applyBorder="1" applyAlignment="1">
      <alignment horizontal="left"/>
    </xf>
    <xf numFmtId="3" fontId="0" fillId="0" borderId="8" xfId="0" applyNumberFormat="1" applyBorder="1"/>
    <xf numFmtId="164" fontId="0" fillId="0" borderId="9" xfId="0" applyNumberFormat="1" applyBorder="1" applyAlignment="1">
      <alignment horizontal="left"/>
    </xf>
    <xf numFmtId="0" fontId="0" fillId="4" borderId="8" xfId="0" applyFill="1" applyBorder="1"/>
    <xf numFmtId="164" fontId="0" fillId="4" borderId="9" xfId="0" applyNumberFormat="1" applyFill="1" applyBorder="1" applyAlignment="1">
      <alignment horizontal="left"/>
    </xf>
    <xf numFmtId="3" fontId="0" fillId="5" borderId="8" xfId="0" applyNumberFormat="1" applyFill="1" applyBorder="1"/>
    <xf numFmtId="164" fontId="0" fillId="5" borderId="9" xfId="0" applyNumberFormat="1" applyFill="1" applyBorder="1"/>
    <xf numFmtId="3" fontId="0" fillId="6" borderId="8" xfId="0" applyNumberFormat="1" applyFill="1" applyBorder="1" applyAlignment="1">
      <alignment horizontal="left"/>
    </xf>
    <xf numFmtId="164" fontId="0" fillId="6" borderId="9" xfId="0" applyNumberForma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10" xfId="0" applyNumberFormat="1" applyFont="1" applyBorder="1" applyAlignment="1">
      <alignment horizontal="left"/>
    </xf>
    <xf numFmtId="3" fontId="2" fillId="2" borderId="11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3" fontId="2" fillId="3" borderId="11" xfId="0" applyNumberFormat="1" applyFont="1" applyFill="1" applyBorder="1" applyAlignment="1">
      <alignment horizontal="left"/>
    </xf>
    <xf numFmtId="164" fontId="2" fillId="3" borderId="12" xfId="0" applyNumberFormat="1" applyFont="1" applyFill="1" applyBorder="1" applyAlignment="1">
      <alignment horizontal="left"/>
    </xf>
    <xf numFmtId="3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3" fontId="2" fillId="4" borderId="11" xfId="0" applyNumberFormat="1" applyFont="1" applyFill="1" applyBorder="1" applyAlignment="1">
      <alignment horizontal="left"/>
    </xf>
    <xf numFmtId="164" fontId="2" fillId="4" borderId="12" xfId="0" applyNumberFormat="1" applyFont="1" applyFill="1" applyBorder="1" applyAlignment="1">
      <alignment horizontal="left"/>
    </xf>
    <xf numFmtId="3" fontId="2" fillId="5" borderId="11" xfId="0" applyNumberFormat="1" applyFont="1" applyFill="1" applyBorder="1" applyAlignment="1">
      <alignment horizontal="left"/>
    </xf>
    <xf numFmtId="164" fontId="2" fillId="5" borderId="12" xfId="0" applyNumberFormat="1" applyFont="1" applyFill="1" applyBorder="1"/>
    <xf numFmtId="3" fontId="2" fillId="0" borderId="0" xfId="0" applyNumberFormat="1" applyFont="1" applyAlignment="1">
      <alignment horizontal="left"/>
    </xf>
    <xf numFmtId="3" fontId="2" fillId="6" borderId="11" xfId="0" applyNumberFormat="1" applyFont="1" applyFill="1" applyBorder="1" applyAlignment="1">
      <alignment horizontal="left"/>
    </xf>
    <xf numFmtId="164" fontId="2" fillId="6" borderId="12" xfId="0" applyNumberFormat="1" applyFont="1" applyFill="1" applyBorder="1" applyAlignment="1">
      <alignment horizontal="left"/>
    </xf>
    <xf numFmtId="0" fontId="5" fillId="0" borderId="0" xfId="0" applyFont="1"/>
    <xf numFmtId="0" fontId="0" fillId="0" borderId="13" xfId="0" applyBorder="1" applyAlignment="1">
      <alignment vertical="center" wrapText="1"/>
    </xf>
    <xf numFmtId="3" fontId="0" fillId="0" borderId="13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2" fillId="2" borderId="13" xfId="0" applyNumberFormat="1" applyFont="1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3" fontId="0" fillId="6" borderId="13" xfId="0" applyNumberFormat="1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left" vertical="center" wrapText="1"/>
    </xf>
    <xf numFmtId="3" fontId="0" fillId="0" borderId="13" xfId="0" applyNumberFormat="1" applyBorder="1" applyAlignment="1">
      <alignment horizontal="left"/>
    </xf>
    <xf numFmtId="3" fontId="2" fillId="2" borderId="13" xfId="0" applyNumberFormat="1" applyFont="1" applyFill="1" applyBorder="1" applyAlignment="1">
      <alignment horizontal="left"/>
    </xf>
    <xf numFmtId="164" fontId="0" fillId="2" borderId="13" xfId="0" applyNumberFormat="1" applyFill="1" applyBorder="1" applyAlignment="1">
      <alignment horizontal="left"/>
    </xf>
    <xf numFmtId="3" fontId="0" fillId="6" borderId="13" xfId="0" applyNumberFormat="1" applyFill="1" applyBorder="1" applyAlignment="1">
      <alignment horizontal="left"/>
    </xf>
    <xf numFmtId="164" fontId="0" fillId="6" borderId="13" xfId="0" applyNumberFormat="1" applyFill="1" applyBorder="1" applyAlignment="1">
      <alignment horizontal="left"/>
    </xf>
    <xf numFmtId="3" fontId="0" fillId="7" borderId="13" xfId="0" applyNumberFormat="1" applyFill="1" applyBorder="1" applyAlignment="1">
      <alignment horizontal="left"/>
    </xf>
    <xf numFmtId="3" fontId="2" fillId="7" borderId="13" xfId="0" applyNumberFormat="1" applyFont="1" applyFill="1" applyBorder="1" applyAlignment="1">
      <alignment horizontal="left"/>
    </xf>
    <xf numFmtId="164" fontId="0" fillId="7" borderId="13" xfId="0" applyNumberForma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0" borderId="13" xfId="0" applyNumberFormat="1" applyFont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3" fontId="2" fillId="6" borderId="13" xfId="0" applyNumberFormat="1" applyFont="1" applyFill="1" applyBorder="1" applyAlignment="1">
      <alignment horizontal="left"/>
    </xf>
    <xf numFmtId="164" fontId="2" fillId="6" borderId="13" xfId="0" applyNumberFormat="1" applyFont="1" applyFill="1" applyBorder="1" applyAlignment="1">
      <alignment horizontal="left"/>
    </xf>
    <xf numFmtId="3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6" fillId="0" borderId="0" xfId="0" applyNumberFormat="1" applyFont="1"/>
    <xf numFmtId="164" fontId="4" fillId="0" borderId="0" xfId="0" applyNumberFormat="1" applyFont="1"/>
    <xf numFmtId="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20</xdr:row>
      <xdr:rowOff>113315</xdr:rowOff>
    </xdr:from>
    <xdr:to>
      <xdr:col>20</xdr:col>
      <xdr:colOff>551008</xdr:colOff>
      <xdr:row>37</xdr:row>
      <xdr:rowOff>72340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D1530-7400-4B28-8F1D-278424D1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4033" y="3792082"/>
          <a:ext cx="5512475" cy="3053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publishing.service.gov.uk/government/uploads/system/uploads/attachment_data/file/1066759/Vaccine-surveillance-report-week-13.pdf" TargetMode="External"/><Relationship Id="rId2" Type="http://schemas.openxmlformats.org/officeDocument/2006/relationships/hyperlink" Target="https://assets.publishing.service.gov.uk/government/uploads/system/uploads/attachment_data/file/1065232/Weekly_Flu_and_COVID-19_report_w13.pdf" TargetMode="External"/><Relationship Id="rId1" Type="http://schemas.openxmlformats.org/officeDocument/2006/relationships/hyperlink" Target="https://www.gov.uk/government/publications/covid-19-vaccine-weekly-surveillance-report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4650-559E-4DA3-A9FF-82C56A984E88}">
  <dimension ref="B1:P104"/>
  <sheetViews>
    <sheetView showGridLines="0" tabSelected="1" workbookViewId="0">
      <selection activeCell="P101" sqref="P101"/>
    </sheetView>
  </sheetViews>
  <sheetFormatPr defaultRowHeight="14.35" x14ac:dyDescent="0.5"/>
  <cols>
    <col min="1" max="1" width="1.703125" customWidth="1"/>
    <col min="3" max="3" width="12.703125" style="2" customWidth="1"/>
    <col min="4" max="4" width="14.703125" style="2" customWidth="1"/>
    <col min="5" max="5" width="14.1171875" style="3" customWidth="1"/>
    <col min="6" max="6" width="14.64453125" customWidth="1"/>
    <col min="7" max="7" width="13.87890625" style="3" customWidth="1"/>
    <col min="8" max="8" width="12.46875" customWidth="1"/>
    <col min="9" max="9" width="12.5859375" style="3" customWidth="1"/>
    <col min="10" max="10" width="12.41015625" customWidth="1"/>
    <col min="11" max="11" width="10" style="3" customWidth="1"/>
    <col min="12" max="12" width="11.5859375" customWidth="1"/>
    <col min="13" max="13" width="8.9375" style="3"/>
    <col min="14" max="14" width="0.64453125" customWidth="1"/>
    <col min="15" max="15" width="11.52734375" style="4" customWidth="1"/>
    <col min="16" max="16" width="8.9375" style="5"/>
  </cols>
  <sheetData>
    <row r="1" spans="2:16" x14ac:dyDescent="0.5">
      <c r="B1" s="1" t="s">
        <v>0</v>
      </c>
    </row>
    <row r="2" spans="2:16" ht="8" customHeight="1" x14ac:dyDescent="0.5"/>
    <row r="3" spans="2:16" x14ac:dyDescent="0.5">
      <c r="B3" t="s">
        <v>1</v>
      </c>
    </row>
    <row r="4" spans="2:16" x14ac:dyDescent="0.5">
      <c r="B4" s="6" t="s">
        <v>2</v>
      </c>
    </row>
    <row r="5" spans="2:16" x14ac:dyDescent="0.5">
      <c r="B5" s="6"/>
    </row>
    <row r="6" spans="2:16" ht="18.350000000000001" thickBot="1" x14ac:dyDescent="0.65">
      <c r="D6" s="7" t="s">
        <v>3</v>
      </c>
      <c r="E6" s="7"/>
      <c r="F6" s="7"/>
      <c r="G6" s="7"/>
      <c r="H6" s="7"/>
      <c r="I6" s="7"/>
      <c r="J6" s="7"/>
      <c r="K6" s="7"/>
      <c r="L6" s="7"/>
      <c r="M6" s="7"/>
    </row>
    <row r="7" spans="2:16" s="8" customFormat="1" ht="30.7" customHeight="1" x14ac:dyDescent="0.5">
      <c r="C7" s="9" t="s">
        <v>4</v>
      </c>
      <c r="D7" s="10" t="s">
        <v>5</v>
      </c>
      <c r="E7" s="11" t="s">
        <v>6</v>
      </c>
      <c r="F7" s="12" t="s">
        <v>7</v>
      </c>
      <c r="G7" s="13" t="s">
        <v>6</v>
      </c>
      <c r="H7" s="14" t="s">
        <v>8</v>
      </c>
      <c r="I7" s="15" t="s">
        <v>6</v>
      </c>
      <c r="J7" s="16" t="s">
        <v>9</v>
      </c>
      <c r="K7" s="17" t="s">
        <v>6</v>
      </c>
      <c r="L7" s="18" t="s">
        <v>10</v>
      </c>
      <c r="M7" s="19" t="s">
        <v>6</v>
      </c>
      <c r="O7" s="20" t="s">
        <v>11</v>
      </c>
      <c r="P7" s="21" t="s">
        <v>6</v>
      </c>
    </row>
    <row r="8" spans="2:16" x14ac:dyDescent="0.5">
      <c r="B8" t="s">
        <v>12</v>
      </c>
      <c r="C8" s="22">
        <f>1393549+4046915+4577404</f>
        <v>10017868</v>
      </c>
      <c r="D8" s="23">
        <f>1030461+2869475+3133201</f>
        <v>7033137</v>
      </c>
      <c r="E8" s="24">
        <f>D8/C8</f>
        <v>0.7020592605133148</v>
      </c>
      <c r="F8" s="25">
        <f>D8-H8</f>
        <v>653189</v>
      </c>
      <c r="G8" s="26">
        <f>F8/C8</f>
        <v>6.5202396358187198E-2</v>
      </c>
      <c r="H8" s="27">
        <f>919097+2574993+2885858</f>
        <v>6379948</v>
      </c>
      <c r="I8" s="28">
        <f>H8/C8</f>
        <v>0.63685686415512766</v>
      </c>
      <c r="J8" s="29">
        <f>H8-L8</f>
        <v>2695613</v>
      </c>
      <c r="K8" s="30">
        <f>J8/C8</f>
        <v>0.26908050695018143</v>
      </c>
      <c r="L8" s="31">
        <f>507503+1444366+1732466</f>
        <v>3684335</v>
      </c>
      <c r="M8" s="32">
        <f>L8/C8</f>
        <v>0.36777635720494622</v>
      </c>
      <c r="O8" s="33">
        <f>C8-D8</f>
        <v>2984731</v>
      </c>
      <c r="P8" s="34">
        <f>O8/C8</f>
        <v>0.2979407394866852</v>
      </c>
    </row>
    <row r="9" spans="2:16" x14ac:dyDescent="0.5">
      <c r="B9" t="s">
        <v>13</v>
      </c>
      <c r="C9" s="22">
        <f>4867872+4610462</f>
        <v>9478334</v>
      </c>
      <c r="D9" s="23">
        <f>3410681+3381051</f>
        <v>6791732</v>
      </c>
      <c r="E9" s="24">
        <f t="shared" ref="E9:E16" si="0">D9/C9</f>
        <v>0.71655335209753102</v>
      </c>
      <c r="F9" s="25">
        <f t="shared" ref="F9:F14" si="1">D9-H9</f>
        <v>386698</v>
      </c>
      <c r="G9" s="26">
        <f t="shared" ref="G9:G16" si="2">F9/C9</f>
        <v>4.0798098062381008E-2</v>
      </c>
      <c r="H9" s="27">
        <f>3191046+3213988</f>
        <v>6405034</v>
      </c>
      <c r="I9" s="28">
        <f t="shared" ref="I9:I16" si="3">H9/C9</f>
        <v>0.67575525403515002</v>
      </c>
      <c r="J9" s="29">
        <f t="shared" ref="J9:J14" si="4">H9-L9</f>
        <v>2076068</v>
      </c>
      <c r="K9" s="30">
        <f t="shared" ref="K9:K16" si="5">J9/C9</f>
        <v>0.21903300727743927</v>
      </c>
      <c r="L9" s="31">
        <f>2067595+2261371</f>
        <v>4328966</v>
      </c>
      <c r="M9" s="32">
        <f t="shared" ref="M9:M16" si="6">L9/C9</f>
        <v>0.45672224675771078</v>
      </c>
      <c r="O9" s="33">
        <f t="shared" ref="O9:O16" si="7">C9-D9</f>
        <v>2686602</v>
      </c>
      <c r="P9" s="34">
        <f t="shared" ref="P9:P16" si="8">O9/C9</f>
        <v>0.28344664790246893</v>
      </c>
    </row>
    <row r="10" spans="2:16" x14ac:dyDescent="0.5">
      <c r="B10" s="35" t="s">
        <v>14</v>
      </c>
      <c r="C10" s="36">
        <f>4224339+4003872</f>
        <v>8228211</v>
      </c>
      <c r="D10" s="37">
        <f>3293170+3319357</f>
        <v>6612527</v>
      </c>
      <c r="E10" s="38">
        <f t="shared" si="0"/>
        <v>0.80364091295179474</v>
      </c>
      <c r="F10" s="37">
        <f t="shared" si="1"/>
        <v>216775</v>
      </c>
      <c r="G10" s="38">
        <f t="shared" si="2"/>
        <v>2.634533800846867E-2</v>
      </c>
      <c r="H10" s="37">
        <f>3169100+3226652</f>
        <v>6395752</v>
      </c>
      <c r="I10" s="38">
        <f t="shared" si="3"/>
        <v>0.77729557494332613</v>
      </c>
      <c r="J10" s="37">
        <f t="shared" si="4"/>
        <v>1346834</v>
      </c>
      <c r="K10" s="38">
        <f t="shared" si="5"/>
        <v>0.16368491279574623</v>
      </c>
      <c r="L10" s="37">
        <f>2418247+2630671</f>
        <v>5048918</v>
      </c>
      <c r="M10" s="39">
        <f t="shared" si="6"/>
        <v>0.61361066214757987</v>
      </c>
      <c r="N10" s="35"/>
      <c r="O10" s="37">
        <f t="shared" si="7"/>
        <v>1615684</v>
      </c>
      <c r="P10" s="38">
        <f t="shared" si="8"/>
        <v>0.19635908704820526</v>
      </c>
    </row>
    <row r="11" spans="2:16" x14ac:dyDescent="0.5">
      <c r="B11" t="s">
        <v>15</v>
      </c>
      <c r="C11" s="22">
        <f>4252064+4122382</f>
        <v>8374446</v>
      </c>
      <c r="D11" s="23">
        <f>3705311+3685697</f>
        <v>7391008</v>
      </c>
      <c r="E11" s="24">
        <f t="shared" si="0"/>
        <v>0.88256679904557267</v>
      </c>
      <c r="F11" s="25">
        <f t="shared" si="1"/>
        <v>139703</v>
      </c>
      <c r="G11" s="26">
        <f t="shared" si="2"/>
        <v>1.6682058729616263E-2</v>
      </c>
      <c r="H11" s="27">
        <f>3627815+3623490</f>
        <v>7251305</v>
      </c>
      <c r="I11" s="28">
        <f t="shared" si="3"/>
        <v>0.86588474031595641</v>
      </c>
      <c r="J11" s="29">
        <f t="shared" si="4"/>
        <v>870761</v>
      </c>
      <c r="K11" s="30">
        <f t="shared" si="5"/>
        <v>0.10397834077621373</v>
      </c>
      <c r="L11" s="31">
        <f>3140991+3239553</f>
        <v>6380544</v>
      </c>
      <c r="M11" s="32">
        <f t="shared" si="6"/>
        <v>0.76190639953974271</v>
      </c>
      <c r="O11" s="33">
        <f t="shared" si="7"/>
        <v>983438</v>
      </c>
      <c r="P11" s="34">
        <f t="shared" si="8"/>
        <v>0.11743320095442732</v>
      </c>
    </row>
    <row r="12" spans="2:16" x14ac:dyDescent="0.5">
      <c r="B12" t="s">
        <v>16</v>
      </c>
      <c r="C12" s="22">
        <f>3506762+2913793</f>
        <v>6420555</v>
      </c>
      <c r="D12" s="23">
        <f>3192769+2701506</f>
        <v>5894275</v>
      </c>
      <c r="E12" s="24">
        <f t="shared" si="0"/>
        <v>0.91803200813636832</v>
      </c>
      <c r="F12" s="25">
        <f t="shared" si="1"/>
        <v>75349</v>
      </c>
      <c r="G12" s="26">
        <f t="shared" si="2"/>
        <v>1.1735589836081148E-2</v>
      </c>
      <c r="H12" s="27">
        <f>3147868+2671058</f>
        <v>5818926</v>
      </c>
      <c r="I12" s="28">
        <f t="shared" si="3"/>
        <v>0.90629641830028718</v>
      </c>
      <c r="J12" s="29">
        <f t="shared" si="4"/>
        <v>390160</v>
      </c>
      <c r="K12" s="30">
        <f t="shared" si="5"/>
        <v>6.0767332419082151E-2</v>
      </c>
      <c r="L12" s="31">
        <f>2895760+2533006</f>
        <v>5428766</v>
      </c>
      <c r="M12" s="32">
        <f t="shared" si="6"/>
        <v>0.84552908588120501</v>
      </c>
      <c r="O12" s="33">
        <f t="shared" si="7"/>
        <v>526280</v>
      </c>
      <c r="P12" s="34">
        <f t="shared" si="8"/>
        <v>8.1967991863631726E-2</v>
      </c>
    </row>
    <row r="13" spans="2:16" x14ac:dyDescent="0.5">
      <c r="B13" t="s">
        <v>17</v>
      </c>
      <c r="C13" s="22">
        <f>2846524+2133304</f>
        <v>4979828</v>
      </c>
      <c r="D13" s="23">
        <f>2697369+2044647</f>
        <v>4742016</v>
      </c>
      <c r="E13" s="24">
        <f>D13/C13</f>
        <v>0.95224493697372681</v>
      </c>
      <c r="F13" s="25">
        <f>D13-H13</f>
        <v>36681</v>
      </c>
      <c r="G13" s="26">
        <f>F13/C13</f>
        <v>7.3659170557697981E-3</v>
      </c>
      <c r="H13" s="27">
        <f>2675085+2030250</f>
        <v>4705335</v>
      </c>
      <c r="I13" s="28">
        <f>H13/C13</f>
        <v>0.94487901991795697</v>
      </c>
      <c r="J13" s="29">
        <f t="shared" si="4"/>
        <v>150593</v>
      </c>
      <c r="K13" s="30">
        <f>J13/C13</f>
        <v>3.0240602687482378E-2</v>
      </c>
      <c r="L13" s="31">
        <f>2583850+1970892</f>
        <v>4554742</v>
      </c>
      <c r="M13" s="32">
        <f>L13/C13</f>
        <v>0.91463841723047468</v>
      </c>
      <c r="O13" s="33">
        <f>C13-D13</f>
        <v>237812</v>
      </c>
      <c r="P13" s="34">
        <f>O13/C13</f>
        <v>4.7755063026273199E-2</v>
      </c>
    </row>
    <row r="14" spans="2:16" x14ac:dyDescent="0.5">
      <c r="B14" t="s">
        <v>18</v>
      </c>
      <c r="C14" s="22">
        <v>2725031</v>
      </c>
      <c r="D14" s="23">
        <v>2606360</v>
      </c>
      <c r="E14" s="24">
        <f t="shared" si="0"/>
        <v>0.95645150458838812</v>
      </c>
      <c r="F14" s="25">
        <f t="shared" si="1"/>
        <v>17365</v>
      </c>
      <c r="G14" s="26">
        <f t="shared" si="2"/>
        <v>6.3724045708103867E-3</v>
      </c>
      <c r="H14" s="27">
        <v>2588995</v>
      </c>
      <c r="I14" s="28">
        <f t="shared" si="3"/>
        <v>0.95007910001757778</v>
      </c>
      <c r="J14" s="29">
        <f t="shared" si="4"/>
        <v>99635</v>
      </c>
      <c r="K14" s="30">
        <f t="shared" si="5"/>
        <v>3.6562886807526229E-2</v>
      </c>
      <c r="L14" s="31">
        <v>2489360</v>
      </c>
      <c r="M14" s="32">
        <f t="shared" si="6"/>
        <v>0.91351621321005161</v>
      </c>
      <c r="O14" s="33">
        <f t="shared" si="7"/>
        <v>118671</v>
      </c>
      <c r="P14" s="34">
        <f t="shared" si="8"/>
        <v>4.3548495411611834E-2</v>
      </c>
    </row>
    <row r="15" spans="2:16" ht="3" customHeight="1" x14ac:dyDescent="0.5">
      <c r="C15" s="40"/>
      <c r="D15" s="41"/>
      <c r="E15" s="42"/>
      <c r="F15" s="43"/>
      <c r="G15" s="44"/>
      <c r="H15" s="45"/>
      <c r="I15" s="46"/>
      <c r="J15" s="47"/>
      <c r="K15" s="48"/>
      <c r="L15" s="49"/>
      <c r="M15" s="50"/>
      <c r="O15" s="51">
        <f t="shared" si="7"/>
        <v>0</v>
      </c>
      <c r="P15" s="52"/>
    </row>
    <row r="16" spans="2:16" s="53" customFormat="1" ht="14.7" thickBot="1" x14ac:dyDescent="0.55000000000000004">
      <c r="B16" s="53" t="s">
        <v>19</v>
      </c>
      <c r="C16" s="54">
        <f>SUM(C8:C14)</f>
        <v>50224273</v>
      </c>
      <c r="D16" s="55">
        <f>SUM(D8:D14)</f>
        <v>41071055</v>
      </c>
      <c r="E16" s="56">
        <f t="shared" si="0"/>
        <v>0.81775310117480449</v>
      </c>
      <c r="F16" s="57">
        <f>SUM(F8:F14)</f>
        <v>1525760</v>
      </c>
      <c r="G16" s="58">
        <f t="shared" si="2"/>
        <v>3.0378936495506863E-2</v>
      </c>
      <c r="H16" s="59">
        <f>SUM(H8:H14)</f>
        <v>39545295</v>
      </c>
      <c r="I16" s="60">
        <f t="shared" si="3"/>
        <v>0.78737416467929755</v>
      </c>
      <c r="J16" s="61">
        <f>SUM(J8:J14)</f>
        <v>7629664</v>
      </c>
      <c r="K16" s="62">
        <f t="shared" si="5"/>
        <v>0.15191188531489544</v>
      </c>
      <c r="L16" s="63">
        <f>SUM(L8:L14)</f>
        <v>31915631</v>
      </c>
      <c r="M16" s="64">
        <f t="shared" si="6"/>
        <v>0.63546227936440214</v>
      </c>
      <c r="N16" s="65"/>
      <c r="O16" s="66">
        <f t="shared" si="7"/>
        <v>9153218</v>
      </c>
      <c r="P16" s="67">
        <f t="shared" si="8"/>
        <v>0.18224689882519554</v>
      </c>
    </row>
    <row r="17" spans="2:16" x14ac:dyDescent="0.5">
      <c r="H17" s="2"/>
      <c r="L17" s="2"/>
    </row>
    <row r="18" spans="2:16" x14ac:dyDescent="0.5">
      <c r="H18" s="2"/>
      <c r="L18" s="2"/>
    </row>
    <row r="19" spans="2:16" x14ac:dyDescent="0.5">
      <c r="B19" t="s">
        <v>20</v>
      </c>
      <c r="H19" s="2"/>
      <c r="L19" s="2"/>
    </row>
    <row r="20" spans="2:16" x14ac:dyDescent="0.5">
      <c r="B20" s="6" t="s">
        <v>21</v>
      </c>
      <c r="H20" s="2"/>
      <c r="K20" s="6"/>
      <c r="L20" s="2" t="s">
        <v>22</v>
      </c>
      <c r="M20" s="6" t="s">
        <v>23</v>
      </c>
    </row>
    <row r="21" spans="2:16" x14ac:dyDescent="0.5">
      <c r="H21" s="2"/>
      <c r="K21" s="6"/>
      <c r="L21" s="2"/>
    </row>
    <row r="22" spans="2:16" x14ac:dyDescent="0.5">
      <c r="H22" s="2"/>
      <c r="L22" s="2"/>
    </row>
    <row r="23" spans="2:16" ht="18" x14ac:dyDescent="0.6">
      <c r="B23" s="68" t="s">
        <v>24</v>
      </c>
      <c r="H23" s="2"/>
      <c r="L23" s="2"/>
    </row>
    <row r="24" spans="2:16" s="78" customFormat="1" ht="43" x14ac:dyDescent="0.5">
      <c r="B24" s="8"/>
      <c r="C24" s="69" t="s">
        <v>25</v>
      </c>
      <c r="D24" s="70" t="s">
        <v>26</v>
      </c>
      <c r="E24" s="70" t="s">
        <v>27</v>
      </c>
      <c r="F24" s="71" t="s">
        <v>28</v>
      </c>
      <c r="G24" s="71" t="s">
        <v>29</v>
      </c>
      <c r="H24" s="72" t="s">
        <v>30</v>
      </c>
      <c r="I24" s="73" t="s">
        <v>31</v>
      </c>
      <c r="J24" s="74" t="s">
        <v>11</v>
      </c>
      <c r="K24" s="75" t="s">
        <v>31</v>
      </c>
      <c r="L24" s="76"/>
      <c r="M24" s="77"/>
      <c r="O24" s="8"/>
      <c r="P24" s="79"/>
    </row>
    <row r="25" spans="2:16" x14ac:dyDescent="0.5">
      <c r="B25" t="s">
        <v>12</v>
      </c>
      <c r="C25" s="80">
        <f>H25+J25</f>
        <v>198732</v>
      </c>
      <c r="D25" s="80">
        <v>290</v>
      </c>
      <c r="E25" s="80">
        <v>9843</v>
      </c>
      <c r="F25" s="80">
        <v>47550</v>
      </c>
      <c r="G25" s="80">
        <v>112909</v>
      </c>
      <c r="H25" s="81">
        <f>SUM(D25:G25)</f>
        <v>170592</v>
      </c>
      <c r="I25" s="82">
        <f>H25/C25</f>
        <v>0.85840227039429984</v>
      </c>
      <c r="J25" s="83">
        <v>28140</v>
      </c>
      <c r="K25" s="84">
        <f>J25/C25</f>
        <v>0.14159772960570013</v>
      </c>
      <c r="L25" s="2"/>
    </row>
    <row r="26" spans="2:16" x14ac:dyDescent="0.5">
      <c r="B26" t="s">
        <v>13</v>
      </c>
      <c r="C26" s="80">
        <f t="shared" ref="C26:C33" si="9">H26+J26</f>
        <v>266518</v>
      </c>
      <c r="D26" s="80">
        <v>177</v>
      </c>
      <c r="E26" s="80">
        <v>7082</v>
      </c>
      <c r="F26" s="80">
        <v>44727</v>
      </c>
      <c r="G26" s="80">
        <v>185366</v>
      </c>
      <c r="H26" s="81">
        <f t="shared" ref="H26:H33" si="10">SUM(D26:G26)</f>
        <v>237352</v>
      </c>
      <c r="I26" s="82">
        <f t="shared" ref="I26:I33" si="11">H26/C26</f>
        <v>0.89056649081863137</v>
      </c>
      <c r="J26" s="83">
        <v>29166</v>
      </c>
      <c r="K26" s="84">
        <f t="shared" ref="K26:K33" si="12">J26/C26</f>
        <v>0.10943350918136861</v>
      </c>
      <c r="L26" s="2"/>
    </row>
    <row r="27" spans="2:16" x14ac:dyDescent="0.5">
      <c r="B27" s="35" t="s">
        <v>14</v>
      </c>
      <c r="C27" s="85">
        <f t="shared" si="9"/>
        <v>244280</v>
      </c>
      <c r="D27" s="85">
        <v>49</v>
      </c>
      <c r="E27" s="85">
        <v>3497</v>
      </c>
      <c r="F27" s="85">
        <v>26565</v>
      </c>
      <c r="G27" s="85">
        <v>198732</v>
      </c>
      <c r="H27" s="86">
        <f t="shared" si="10"/>
        <v>228843</v>
      </c>
      <c r="I27" s="87">
        <f t="shared" si="11"/>
        <v>0.93680612411986242</v>
      </c>
      <c r="J27" s="85">
        <v>15437</v>
      </c>
      <c r="K27" s="87">
        <f t="shared" si="12"/>
        <v>6.3193875880137543E-2</v>
      </c>
      <c r="L27" s="2"/>
    </row>
    <row r="28" spans="2:16" x14ac:dyDescent="0.5">
      <c r="B28" t="s">
        <v>15</v>
      </c>
      <c r="C28" s="80">
        <f t="shared" si="9"/>
        <v>234309</v>
      </c>
      <c r="D28" s="80">
        <v>27</v>
      </c>
      <c r="E28" s="80">
        <v>1834</v>
      </c>
      <c r="F28" s="80">
        <v>14514</v>
      </c>
      <c r="G28" s="88">
        <v>210265</v>
      </c>
      <c r="H28" s="86">
        <f>SUM(D28:G28)</f>
        <v>226640</v>
      </c>
      <c r="I28" s="82">
        <f t="shared" si="11"/>
        <v>0.96726971648549565</v>
      </c>
      <c r="J28" s="83">
        <v>7669</v>
      </c>
      <c r="K28" s="84">
        <f t="shared" si="12"/>
        <v>3.2730283514504348E-2</v>
      </c>
      <c r="L28" s="2"/>
    </row>
    <row r="29" spans="2:16" x14ac:dyDescent="0.5">
      <c r="B29" t="s">
        <v>16</v>
      </c>
      <c r="C29" s="80">
        <f t="shared" si="9"/>
        <v>161922</v>
      </c>
      <c r="D29" s="80">
        <v>10</v>
      </c>
      <c r="E29" s="80">
        <v>764</v>
      </c>
      <c r="F29" s="80">
        <v>5486</v>
      </c>
      <c r="G29" s="80">
        <v>152649</v>
      </c>
      <c r="H29" s="81">
        <f t="shared" si="10"/>
        <v>158909</v>
      </c>
      <c r="I29" s="82">
        <f t="shared" si="11"/>
        <v>0.98139227529304229</v>
      </c>
      <c r="J29" s="83">
        <v>3013</v>
      </c>
      <c r="K29" s="84">
        <f t="shared" si="12"/>
        <v>1.8607724706957672E-2</v>
      </c>
      <c r="L29" s="2"/>
    </row>
    <row r="30" spans="2:16" x14ac:dyDescent="0.5">
      <c r="B30" t="s">
        <v>17</v>
      </c>
      <c r="C30" s="80">
        <f t="shared" si="9"/>
        <v>101997</v>
      </c>
      <c r="D30" s="80">
        <v>6</v>
      </c>
      <c r="E30" s="80">
        <v>391</v>
      </c>
      <c r="F30" s="80">
        <v>1903</v>
      </c>
      <c r="G30" s="80">
        <v>98431</v>
      </c>
      <c r="H30" s="81">
        <f t="shared" si="10"/>
        <v>100731</v>
      </c>
      <c r="I30" s="82">
        <f t="shared" si="11"/>
        <v>0.98758787023147743</v>
      </c>
      <c r="J30" s="83">
        <v>1266</v>
      </c>
      <c r="K30" s="84">
        <f t="shared" si="12"/>
        <v>1.2412129768522604E-2</v>
      </c>
      <c r="L30" s="2"/>
    </row>
    <row r="31" spans="2:16" x14ac:dyDescent="0.5">
      <c r="B31" t="s">
        <v>18</v>
      </c>
      <c r="C31" s="80">
        <f t="shared" si="9"/>
        <v>53990</v>
      </c>
      <c r="D31" s="80">
        <v>3</v>
      </c>
      <c r="E31" s="80">
        <v>361</v>
      </c>
      <c r="F31" s="80">
        <v>2219</v>
      </c>
      <c r="G31" s="80">
        <v>50484</v>
      </c>
      <c r="H31" s="81">
        <f t="shared" si="10"/>
        <v>53067</v>
      </c>
      <c r="I31" s="82">
        <f t="shared" si="11"/>
        <v>0.98290424152620859</v>
      </c>
      <c r="J31" s="83">
        <v>923</v>
      </c>
      <c r="K31" s="84">
        <f t="shared" si="12"/>
        <v>1.7095758473791443E-2</v>
      </c>
    </row>
    <row r="32" spans="2:16" ht="5" customHeight="1" x14ac:dyDescent="0.5">
      <c r="C32" s="80"/>
      <c r="D32" s="80"/>
      <c r="E32" s="80"/>
      <c r="F32" s="80"/>
      <c r="G32" s="80"/>
      <c r="H32" s="81"/>
      <c r="I32" s="82"/>
      <c r="J32" s="83"/>
      <c r="K32" s="84"/>
    </row>
    <row r="33" spans="2:16" x14ac:dyDescent="0.5">
      <c r="B33" s="53" t="s">
        <v>19</v>
      </c>
      <c r="C33" s="89">
        <f t="shared" si="9"/>
        <v>1261748</v>
      </c>
      <c r="D33" s="89">
        <f>SUM(D25:D31)</f>
        <v>562</v>
      </c>
      <c r="E33" s="89">
        <f>SUM(E25:E31)</f>
        <v>23772</v>
      </c>
      <c r="F33" s="89">
        <f>SUM(F25:F31)</f>
        <v>142964</v>
      </c>
      <c r="G33" s="89">
        <f>SUM(G25:G31)</f>
        <v>1008836</v>
      </c>
      <c r="H33" s="81">
        <f t="shared" si="10"/>
        <v>1176134</v>
      </c>
      <c r="I33" s="90">
        <f t="shared" si="11"/>
        <v>0.93214651420093397</v>
      </c>
      <c r="J33" s="91">
        <f>SUM(J25:J31)</f>
        <v>85614</v>
      </c>
      <c r="K33" s="92">
        <f t="shared" si="12"/>
        <v>6.7853485799066054E-2</v>
      </c>
    </row>
    <row r="34" spans="2:16" x14ac:dyDescent="0.5">
      <c r="F34" s="93">
        <f>F33+G33</f>
        <v>1151800</v>
      </c>
      <c r="G34" s="94"/>
    </row>
    <row r="35" spans="2:16" x14ac:dyDescent="0.5">
      <c r="F35" s="95">
        <f>F34/C33</f>
        <v>0.91286057120756281</v>
      </c>
      <c r="G35" s="96"/>
    </row>
    <row r="37" spans="2:16" x14ac:dyDescent="0.5">
      <c r="B37" s="1" t="s">
        <v>32</v>
      </c>
      <c r="G37" s="97" t="s">
        <v>33</v>
      </c>
    </row>
    <row r="38" spans="2:16" x14ac:dyDescent="0.5">
      <c r="B38" s="1" t="s">
        <v>34</v>
      </c>
      <c r="G38" s="98" t="s">
        <v>35</v>
      </c>
    </row>
    <row r="39" spans="2:16" x14ac:dyDescent="0.5">
      <c r="B39" s="1"/>
    </row>
    <row r="40" spans="2:16" ht="18" x14ac:dyDescent="0.6">
      <c r="B40" s="68" t="s">
        <v>36</v>
      </c>
      <c r="H40" s="2"/>
      <c r="L40" s="2"/>
    </row>
    <row r="41" spans="2:16" s="78" customFormat="1" ht="43" x14ac:dyDescent="0.5">
      <c r="B41" s="8"/>
      <c r="C41" s="69" t="s">
        <v>37</v>
      </c>
      <c r="D41" s="70" t="s">
        <v>26</v>
      </c>
      <c r="E41" s="70" t="s">
        <v>27</v>
      </c>
      <c r="F41" s="71" t="s">
        <v>28</v>
      </c>
      <c r="G41" s="71" t="s">
        <v>29</v>
      </c>
      <c r="H41" s="72" t="s">
        <v>38</v>
      </c>
      <c r="I41" s="73" t="s">
        <v>39</v>
      </c>
      <c r="J41" s="74" t="s">
        <v>11</v>
      </c>
      <c r="K41" s="75" t="s">
        <v>39</v>
      </c>
      <c r="L41" s="76"/>
      <c r="M41" s="77"/>
      <c r="O41" s="8"/>
      <c r="P41" s="79"/>
    </row>
    <row r="42" spans="2:16" x14ac:dyDescent="0.5">
      <c r="B42" t="s">
        <v>12</v>
      </c>
      <c r="C42" s="80">
        <f>H42+J42</f>
        <v>682</v>
      </c>
      <c r="D42" s="80">
        <v>3</v>
      </c>
      <c r="E42" s="80">
        <v>47</v>
      </c>
      <c r="F42" s="80">
        <v>190</v>
      </c>
      <c r="G42" s="80">
        <v>196</v>
      </c>
      <c r="H42" s="81">
        <f>SUM(D42:G42)</f>
        <v>436</v>
      </c>
      <c r="I42" s="82">
        <f>H42/C42</f>
        <v>0.63929618768328444</v>
      </c>
      <c r="J42" s="83">
        <v>246</v>
      </c>
      <c r="K42" s="84">
        <f>J42/C42</f>
        <v>0.36070381231671556</v>
      </c>
      <c r="L42" s="2"/>
    </row>
    <row r="43" spans="2:16" x14ac:dyDescent="0.5">
      <c r="B43" t="s">
        <v>13</v>
      </c>
      <c r="C43" s="80">
        <f t="shared" ref="C43:C48" si="13">H43+J43</f>
        <v>687</v>
      </c>
      <c r="D43" s="80">
        <v>0</v>
      </c>
      <c r="E43" s="80">
        <v>38</v>
      </c>
      <c r="F43" s="80">
        <v>156</v>
      </c>
      <c r="G43" s="80">
        <v>293</v>
      </c>
      <c r="H43" s="81">
        <f t="shared" ref="H43:H48" si="14">SUM(D43:G43)</f>
        <v>487</v>
      </c>
      <c r="I43" s="82">
        <f t="shared" ref="I43:I48" si="15">H43/C43</f>
        <v>0.70887918486171764</v>
      </c>
      <c r="J43" s="83">
        <v>200</v>
      </c>
      <c r="K43" s="84">
        <f t="shared" ref="K43:K48" si="16">J43/C43</f>
        <v>0.29112081513828236</v>
      </c>
      <c r="L43" s="2"/>
    </row>
    <row r="44" spans="2:16" x14ac:dyDescent="0.5">
      <c r="B44" s="35" t="s">
        <v>14</v>
      </c>
      <c r="C44" s="85">
        <f t="shared" si="13"/>
        <v>572</v>
      </c>
      <c r="D44" s="85">
        <v>0</v>
      </c>
      <c r="E44" s="85">
        <v>34</v>
      </c>
      <c r="F44" s="85">
        <v>111</v>
      </c>
      <c r="G44" s="85">
        <v>303</v>
      </c>
      <c r="H44" s="86">
        <f t="shared" si="14"/>
        <v>448</v>
      </c>
      <c r="I44" s="87">
        <f t="shared" si="15"/>
        <v>0.78321678321678323</v>
      </c>
      <c r="J44" s="85">
        <v>124</v>
      </c>
      <c r="K44" s="87">
        <f t="shared" si="16"/>
        <v>0.21678321678321677</v>
      </c>
      <c r="L44" s="2"/>
    </row>
    <row r="45" spans="2:16" x14ac:dyDescent="0.5">
      <c r="B45" t="s">
        <v>15</v>
      </c>
      <c r="C45" s="80">
        <f t="shared" si="13"/>
        <v>891</v>
      </c>
      <c r="D45" s="80">
        <v>1</v>
      </c>
      <c r="E45" s="80">
        <v>37</v>
      </c>
      <c r="F45" s="80">
        <v>155</v>
      </c>
      <c r="G45" s="80">
        <v>571</v>
      </c>
      <c r="H45" s="81">
        <f t="shared" si="14"/>
        <v>764</v>
      </c>
      <c r="I45" s="82">
        <f t="shared" si="15"/>
        <v>0.85746352413019078</v>
      </c>
      <c r="J45" s="83">
        <v>127</v>
      </c>
      <c r="K45" s="84">
        <f t="shared" si="16"/>
        <v>0.14253647586980919</v>
      </c>
      <c r="L45" s="2"/>
    </row>
    <row r="46" spans="2:16" x14ac:dyDescent="0.5">
      <c r="B46" t="s">
        <v>16</v>
      </c>
      <c r="C46" s="80">
        <f t="shared" si="13"/>
        <v>1049</v>
      </c>
      <c r="D46" s="80">
        <v>0</v>
      </c>
      <c r="E46" s="80">
        <v>24</v>
      </c>
      <c r="F46" s="80">
        <v>135</v>
      </c>
      <c r="G46" s="80">
        <v>774</v>
      </c>
      <c r="H46" s="81">
        <f t="shared" si="14"/>
        <v>933</v>
      </c>
      <c r="I46" s="82">
        <f t="shared" si="15"/>
        <v>0.88941849380362248</v>
      </c>
      <c r="J46" s="83">
        <v>116</v>
      </c>
      <c r="K46" s="84">
        <f t="shared" si="16"/>
        <v>0.11058150619637751</v>
      </c>
      <c r="L46" s="2"/>
    </row>
    <row r="47" spans="2:16" x14ac:dyDescent="0.5">
      <c r="B47" t="s">
        <v>17</v>
      </c>
      <c r="C47" s="80">
        <f t="shared" si="13"/>
        <v>2009</v>
      </c>
      <c r="D47" s="80">
        <v>1</v>
      </c>
      <c r="E47" s="80">
        <v>29</v>
      </c>
      <c r="F47" s="80">
        <v>171</v>
      </c>
      <c r="G47" s="80">
        <v>1668</v>
      </c>
      <c r="H47" s="81">
        <f t="shared" si="14"/>
        <v>1869</v>
      </c>
      <c r="I47" s="82">
        <f t="shared" si="15"/>
        <v>0.93031358885017423</v>
      </c>
      <c r="J47" s="83">
        <v>140</v>
      </c>
      <c r="K47" s="84">
        <f t="shared" si="16"/>
        <v>6.968641114982578E-2</v>
      </c>
      <c r="L47" s="2"/>
    </row>
    <row r="48" spans="2:16" x14ac:dyDescent="0.5">
      <c r="B48" t="s">
        <v>18</v>
      </c>
      <c r="C48" s="80">
        <f t="shared" si="13"/>
        <v>3367</v>
      </c>
      <c r="D48" s="80">
        <v>1</v>
      </c>
      <c r="E48" s="80">
        <v>55</v>
      </c>
      <c r="F48" s="80">
        <v>224</v>
      </c>
      <c r="G48" s="80">
        <v>2940</v>
      </c>
      <c r="H48" s="81">
        <f t="shared" si="14"/>
        <v>3220</v>
      </c>
      <c r="I48" s="82">
        <f t="shared" si="15"/>
        <v>0.95634095634095639</v>
      </c>
      <c r="J48" s="83">
        <v>147</v>
      </c>
      <c r="K48" s="84">
        <f t="shared" si="16"/>
        <v>4.3659043659043661E-2</v>
      </c>
    </row>
    <row r="49" spans="2:11" ht="5" customHeight="1" x14ac:dyDescent="0.5">
      <c r="C49" s="80"/>
      <c r="D49" s="80"/>
      <c r="E49" s="80"/>
      <c r="F49" s="80"/>
      <c r="G49" s="80"/>
      <c r="H49" s="81"/>
      <c r="I49" s="82"/>
      <c r="J49" s="83"/>
      <c r="K49" s="84"/>
    </row>
    <row r="50" spans="2:11" x14ac:dyDescent="0.5">
      <c r="B50" s="53" t="s">
        <v>19</v>
      </c>
      <c r="C50" s="89">
        <f>H50+J50</f>
        <v>9257</v>
      </c>
      <c r="D50" s="89">
        <f>SUM(D42:D48)</f>
        <v>6</v>
      </c>
      <c r="E50" s="89">
        <f>SUM(E42:E48)</f>
        <v>264</v>
      </c>
      <c r="F50" s="89">
        <f>SUM(F42:F48)</f>
        <v>1142</v>
      </c>
      <c r="G50" s="89">
        <f>SUM(G42:G48)</f>
        <v>6745</v>
      </c>
      <c r="H50" s="81">
        <f>SUM(D50:G50)</f>
        <v>8157</v>
      </c>
      <c r="I50" s="90">
        <f>H50/C50</f>
        <v>0.88117100572539697</v>
      </c>
      <c r="J50" s="91">
        <f>SUM(J42:J48)</f>
        <v>1100</v>
      </c>
      <c r="K50" s="92">
        <f>J50/C50</f>
        <v>0.118828994274603</v>
      </c>
    </row>
    <row r="51" spans="2:11" x14ac:dyDescent="0.5">
      <c r="F51" s="99">
        <f>F50+G50</f>
        <v>7887</v>
      </c>
      <c r="G51" s="100"/>
    </row>
    <row r="52" spans="2:11" x14ac:dyDescent="0.5">
      <c r="F52" s="101">
        <f>F51/C50</f>
        <v>0.85200388894890355</v>
      </c>
      <c r="G52" s="101"/>
    </row>
    <row r="54" spans="2:11" x14ac:dyDescent="0.5">
      <c r="B54" s="1" t="s">
        <v>40</v>
      </c>
    </row>
    <row r="55" spans="2:11" x14ac:dyDescent="0.5">
      <c r="B55" s="1" t="s">
        <v>41</v>
      </c>
      <c r="H55" s="1" t="s">
        <v>42</v>
      </c>
    </row>
    <row r="56" spans="2:11" x14ac:dyDescent="0.5">
      <c r="B56" s="102" t="s">
        <v>43</v>
      </c>
      <c r="H56" s="1" t="s">
        <v>44</v>
      </c>
    </row>
    <row r="58" spans="2:11" ht="18" x14ac:dyDescent="0.6">
      <c r="B58" s="68" t="s">
        <v>45</v>
      </c>
      <c r="H58" s="2"/>
    </row>
    <row r="59" spans="2:11" ht="43" x14ac:dyDescent="0.5">
      <c r="B59" s="8"/>
      <c r="C59" s="69" t="s">
        <v>46</v>
      </c>
      <c r="D59" s="70" t="s">
        <v>26</v>
      </c>
      <c r="E59" s="70" t="s">
        <v>27</v>
      </c>
      <c r="F59" s="71" t="s">
        <v>28</v>
      </c>
      <c r="G59" s="71" t="s">
        <v>29</v>
      </c>
      <c r="H59" s="72" t="s">
        <v>47</v>
      </c>
      <c r="I59" s="73" t="s">
        <v>48</v>
      </c>
      <c r="J59" s="74" t="s">
        <v>11</v>
      </c>
      <c r="K59" s="75" t="s">
        <v>48</v>
      </c>
    </row>
    <row r="60" spans="2:11" x14ac:dyDescent="0.5">
      <c r="B60" t="s">
        <v>12</v>
      </c>
      <c r="C60" s="80">
        <f>H60+J60</f>
        <v>6</v>
      </c>
      <c r="D60" s="80">
        <v>0</v>
      </c>
      <c r="E60" s="80">
        <v>0</v>
      </c>
      <c r="F60" s="80">
        <v>1</v>
      </c>
      <c r="G60" s="80">
        <v>4</v>
      </c>
      <c r="H60" s="81">
        <f>SUM(D60:G60)</f>
        <v>5</v>
      </c>
      <c r="I60" s="82">
        <f>H60/C60</f>
        <v>0.83333333333333337</v>
      </c>
      <c r="J60" s="83">
        <v>1</v>
      </c>
      <c r="K60" s="84">
        <f>J60/C60</f>
        <v>0.16666666666666666</v>
      </c>
    </row>
    <row r="61" spans="2:11" x14ac:dyDescent="0.5">
      <c r="B61" t="s">
        <v>13</v>
      </c>
      <c r="C61" s="80">
        <f t="shared" ref="C61:C66" si="17">H61+J61</f>
        <v>20</v>
      </c>
      <c r="D61" s="80">
        <v>0</v>
      </c>
      <c r="E61" s="80">
        <v>1</v>
      </c>
      <c r="F61" s="80">
        <v>3</v>
      </c>
      <c r="G61" s="80">
        <v>8</v>
      </c>
      <c r="H61" s="81">
        <f t="shared" ref="H61:H66" si="18">SUM(D61:G61)</f>
        <v>12</v>
      </c>
      <c r="I61" s="82">
        <f t="shared" ref="I61:I66" si="19">H61/C61</f>
        <v>0.6</v>
      </c>
      <c r="J61" s="83">
        <v>8</v>
      </c>
      <c r="K61" s="84">
        <f t="shared" ref="K61:K66" si="20">J61/C61</f>
        <v>0.4</v>
      </c>
    </row>
    <row r="62" spans="2:11" x14ac:dyDescent="0.5">
      <c r="B62" s="35" t="s">
        <v>14</v>
      </c>
      <c r="C62" s="85">
        <f t="shared" si="17"/>
        <v>25</v>
      </c>
      <c r="D62" s="85">
        <v>0</v>
      </c>
      <c r="E62" s="85">
        <v>1</v>
      </c>
      <c r="F62" s="85">
        <v>9</v>
      </c>
      <c r="G62" s="85">
        <v>10</v>
      </c>
      <c r="H62" s="86">
        <f t="shared" si="18"/>
        <v>20</v>
      </c>
      <c r="I62" s="87">
        <f t="shared" si="19"/>
        <v>0.8</v>
      </c>
      <c r="J62" s="85">
        <v>5</v>
      </c>
      <c r="K62" s="87">
        <f t="shared" si="20"/>
        <v>0.2</v>
      </c>
    </row>
    <row r="63" spans="2:11" x14ac:dyDescent="0.5">
      <c r="B63" t="s">
        <v>15</v>
      </c>
      <c r="C63" s="80">
        <f t="shared" si="17"/>
        <v>72</v>
      </c>
      <c r="D63" s="80">
        <v>0</v>
      </c>
      <c r="E63" s="80">
        <v>5</v>
      </c>
      <c r="F63" s="80">
        <v>17</v>
      </c>
      <c r="G63" s="80">
        <v>34</v>
      </c>
      <c r="H63" s="81">
        <f t="shared" si="18"/>
        <v>56</v>
      </c>
      <c r="I63" s="82">
        <f t="shared" si="19"/>
        <v>0.77777777777777779</v>
      </c>
      <c r="J63" s="83">
        <v>16</v>
      </c>
      <c r="K63" s="84">
        <f t="shared" si="20"/>
        <v>0.22222222222222221</v>
      </c>
    </row>
    <row r="64" spans="2:11" x14ac:dyDescent="0.5">
      <c r="B64" t="s">
        <v>16</v>
      </c>
      <c r="C64" s="80">
        <f t="shared" si="17"/>
        <v>162</v>
      </c>
      <c r="D64" s="80">
        <v>0</v>
      </c>
      <c r="E64" s="80">
        <v>11</v>
      </c>
      <c r="F64" s="80">
        <v>39</v>
      </c>
      <c r="G64" s="80">
        <v>81</v>
      </c>
      <c r="H64" s="81">
        <f t="shared" si="18"/>
        <v>131</v>
      </c>
      <c r="I64" s="82">
        <f t="shared" si="19"/>
        <v>0.80864197530864201</v>
      </c>
      <c r="J64" s="83">
        <v>31</v>
      </c>
      <c r="K64" s="84">
        <f t="shared" si="20"/>
        <v>0.19135802469135801</v>
      </c>
    </row>
    <row r="65" spans="2:11" x14ac:dyDescent="0.5">
      <c r="B65" t="s">
        <v>17</v>
      </c>
      <c r="C65" s="80">
        <f t="shared" si="17"/>
        <v>432</v>
      </c>
      <c r="D65" s="80">
        <v>0</v>
      </c>
      <c r="E65" s="80">
        <v>6</v>
      </c>
      <c r="F65" s="80">
        <v>70</v>
      </c>
      <c r="G65" s="80">
        <v>308</v>
      </c>
      <c r="H65" s="81">
        <f t="shared" si="18"/>
        <v>384</v>
      </c>
      <c r="I65" s="82">
        <f t="shared" si="19"/>
        <v>0.88888888888888884</v>
      </c>
      <c r="J65" s="83">
        <v>48</v>
      </c>
      <c r="K65" s="84">
        <f t="shared" si="20"/>
        <v>0.1111111111111111</v>
      </c>
    </row>
    <row r="66" spans="2:11" x14ac:dyDescent="0.5">
      <c r="B66" t="s">
        <v>18</v>
      </c>
      <c r="C66" s="80">
        <f t="shared" si="17"/>
        <v>1415</v>
      </c>
      <c r="D66" s="80">
        <v>1</v>
      </c>
      <c r="E66" s="80">
        <v>23</v>
      </c>
      <c r="F66" s="80">
        <v>175</v>
      </c>
      <c r="G66" s="80">
        <v>1112</v>
      </c>
      <c r="H66" s="81">
        <f t="shared" si="18"/>
        <v>1311</v>
      </c>
      <c r="I66" s="82">
        <f t="shared" si="19"/>
        <v>0.92650176678445229</v>
      </c>
      <c r="J66" s="83">
        <v>104</v>
      </c>
      <c r="K66" s="84">
        <f t="shared" si="20"/>
        <v>7.3498233215547701E-2</v>
      </c>
    </row>
    <row r="67" spans="2:11" ht="3.7" customHeight="1" x14ac:dyDescent="0.5">
      <c r="C67" s="80"/>
      <c r="D67" s="80"/>
      <c r="E67" s="80"/>
      <c r="F67" s="80"/>
      <c r="G67" s="80"/>
      <c r="H67" s="81"/>
      <c r="I67" s="82"/>
      <c r="J67" s="83"/>
      <c r="K67" s="84"/>
    </row>
    <row r="68" spans="2:11" x14ac:dyDescent="0.5">
      <c r="B68" s="53" t="s">
        <v>19</v>
      </c>
      <c r="C68" s="89">
        <f>H68+J68</f>
        <v>2132</v>
      </c>
      <c r="D68" s="89">
        <f>SUM(D60:D66)</f>
        <v>1</v>
      </c>
      <c r="E68" s="89">
        <f>SUM(E60:E66)</f>
        <v>47</v>
      </c>
      <c r="F68" s="89">
        <f>SUM(F60:F66)</f>
        <v>314</v>
      </c>
      <c r="G68" s="89">
        <f>SUM(G60:G66)</f>
        <v>1557</v>
      </c>
      <c r="H68" s="81">
        <f>SUM(D68:G68)</f>
        <v>1919</v>
      </c>
      <c r="I68" s="90">
        <f>H68/C68</f>
        <v>0.90009380863039401</v>
      </c>
      <c r="J68" s="91">
        <f>SUM(J60:J66)</f>
        <v>213</v>
      </c>
      <c r="K68" s="92">
        <f>J68/C68</f>
        <v>9.9906191369606004E-2</v>
      </c>
    </row>
    <row r="69" spans="2:11" x14ac:dyDescent="0.5">
      <c r="F69" s="99">
        <f>F68+G68</f>
        <v>1871</v>
      </c>
      <c r="G69" s="100"/>
    </row>
    <row r="70" spans="2:11" x14ac:dyDescent="0.5">
      <c r="F70" s="101">
        <f>F69/C68</f>
        <v>0.87757973733583494</v>
      </c>
      <c r="G70" s="101"/>
    </row>
    <row r="72" spans="2:11" x14ac:dyDescent="0.5">
      <c r="B72" s="1" t="s">
        <v>49</v>
      </c>
    </row>
    <row r="73" spans="2:11" x14ac:dyDescent="0.5">
      <c r="B73" s="1" t="s">
        <v>50</v>
      </c>
    </row>
    <row r="74" spans="2:11" x14ac:dyDescent="0.5">
      <c r="B74" s="102" t="s">
        <v>51</v>
      </c>
    </row>
    <row r="75" spans="2:11" ht="14.7" customHeight="1" x14ac:dyDescent="0.5"/>
    <row r="76" spans="2:11" ht="18" x14ac:dyDescent="0.6">
      <c r="B76" s="68" t="s">
        <v>52</v>
      </c>
      <c r="H76" s="2"/>
    </row>
    <row r="77" spans="2:11" ht="43" x14ac:dyDescent="0.5">
      <c r="B77" s="8"/>
      <c r="C77" s="69" t="s">
        <v>46</v>
      </c>
      <c r="D77" s="70" t="s">
        <v>26</v>
      </c>
      <c r="E77" s="70" t="s">
        <v>27</v>
      </c>
      <c r="F77" s="71" t="s">
        <v>28</v>
      </c>
      <c r="G77" s="71" t="s">
        <v>29</v>
      </c>
      <c r="H77" s="72" t="s">
        <v>47</v>
      </c>
      <c r="I77" s="73" t="s">
        <v>48</v>
      </c>
      <c r="J77" s="74" t="s">
        <v>11</v>
      </c>
      <c r="K77" s="75" t="s">
        <v>48</v>
      </c>
    </row>
    <row r="78" spans="2:11" x14ac:dyDescent="0.5">
      <c r="B78" t="s">
        <v>12</v>
      </c>
      <c r="C78" s="80">
        <f>H78+J78</f>
        <v>15</v>
      </c>
      <c r="D78" s="80">
        <v>0</v>
      </c>
      <c r="E78" s="80">
        <v>1</v>
      </c>
      <c r="F78" s="80">
        <v>3</v>
      </c>
      <c r="G78" s="80">
        <v>5</v>
      </c>
      <c r="H78" s="81">
        <f>SUM(D78:G78)</f>
        <v>9</v>
      </c>
      <c r="I78" s="82">
        <f>H78/C78</f>
        <v>0.6</v>
      </c>
      <c r="J78" s="83">
        <v>6</v>
      </c>
      <c r="K78" s="84">
        <f>J78/C78</f>
        <v>0.4</v>
      </c>
    </row>
    <row r="79" spans="2:11" x14ac:dyDescent="0.5">
      <c r="B79" t="s">
        <v>13</v>
      </c>
      <c r="C79" s="80">
        <f t="shared" ref="C79:C84" si="21">H79+J79</f>
        <v>44</v>
      </c>
      <c r="D79" s="80">
        <v>0</v>
      </c>
      <c r="E79" s="80">
        <v>4</v>
      </c>
      <c r="F79" s="80">
        <v>10</v>
      </c>
      <c r="G79" s="80">
        <v>17</v>
      </c>
      <c r="H79" s="81">
        <f t="shared" ref="H79:H84" si="22">SUM(D79:G79)</f>
        <v>31</v>
      </c>
      <c r="I79" s="82">
        <f t="shared" ref="I79:I84" si="23">H79/C79</f>
        <v>0.70454545454545459</v>
      </c>
      <c r="J79" s="83">
        <v>13</v>
      </c>
      <c r="K79" s="84">
        <f t="shared" ref="K79:K84" si="24">J79/C79</f>
        <v>0.29545454545454547</v>
      </c>
    </row>
    <row r="80" spans="2:11" x14ac:dyDescent="0.5">
      <c r="B80" s="35" t="s">
        <v>14</v>
      </c>
      <c r="C80" s="85">
        <f t="shared" si="21"/>
        <v>60</v>
      </c>
      <c r="D80" s="85">
        <v>0</v>
      </c>
      <c r="E80" s="85">
        <v>2</v>
      </c>
      <c r="F80" s="85">
        <v>18</v>
      </c>
      <c r="G80" s="85">
        <v>29</v>
      </c>
      <c r="H80" s="86">
        <f t="shared" si="22"/>
        <v>49</v>
      </c>
      <c r="I80" s="87">
        <f t="shared" si="23"/>
        <v>0.81666666666666665</v>
      </c>
      <c r="J80" s="85">
        <v>11</v>
      </c>
      <c r="K80" s="87">
        <f t="shared" si="24"/>
        <v>0.18333333333333332</v>
      </c>
    </row>
    <row r="81" spans="2:11" x14ac:dyDescent="0.5">
      <c r="B81" t="s">
        <v>15</v>
      </c>
      <c r="C81" s="80">
        <f t="shared" si="21"/>
        <v>155</v>
      </c>
      <c r="D81" s="80">
        <v>0</v>
      </c>
      <c r="E81" s="80">
        <v>8</v>
      </c>
      <c r="F81" s="80">
        <v>45</v>
      </c>
      <c r="G81" s="80">
        <v>78</v>
      </c>
      <c r="H81" s="81">
        <f t="shared" si="22"/>
        <v>131</v>
      </c>
      <c r="I81" s="82">
        <f t="shared" si="23"/>
        <v>0.84516129032258069</v>
      </c>
      <c r="J81" s="83">
        <v>24</v>
      </c>
      <c r="K81" s="84">
        <f t="shared" si="24"/>
        <v>0.15483870967741936</v>
      </c>
    </row>
    <row r="82" spans="2:11" x14ac:dyDescent="0.5">
      <c r="B82" t="s">
        <v>16</v>
      </c>
      <c r="C82" s="80">
        <f t="shared" si="21"/>
        <v>349</v>
      </c>
      <c r="D82" s="80">
        <v>0</v>
      </c>
      <c r="E82" s="80">
        <v>16</v>
      </c>
      <c r="F82" s="80">
        <v>77</v>
      </c>
      <c r="G82" s="80">
        <v>208</v>
      </c>
      <c r="H82" s="81">
        <f t="shared" si="22"/>
        <v>301</v>
      </c>
      <c r="I82" s="82">
        <f t="shared" si="23"/>
        <v>0.86246418338108888</v>
      </c>
      <c r="J82" s="83">
        <v>48</v>
      </c>
      <c r="K82" s="84">
        <f t="shared" si="24"/>
        <v>0.13753581661891118</v>
      </c>
    </row>
    <row r="83" spans="2:11" x14ac:dyDescent="0.5">
      <c r="B83" t="s">
        <v>17</v>
      </c>
      <c r="C83" s="80">
        <f t="shared" si="21"/>
        <v>822</v>
      </c>
      <c r="D83" s="80">
        <v>0</v>
      </c>
      <c r="E83" s="80">
        <v>19</v>
      </c>
      <c r="F83" s="80">
        <v>120</v>
      </c>
      <c r="G83" s="80">
        <v>611</v>
      </c>
      <c r="H83" s="81">
        <f t="shared" si="22"/>
        <v>750</v>
      </c>
      <c r="I83" s="82">
        <f t="shared" si="23"/>
        <v>0.91240875912408759</v>
      </c>
      <c r="J83" s="83">
        <v>72</v>
      </c>
      <c r="K83" s="84">
        <f t="shared" si="24"/>
        <v>8.7591240875912413E-2</v>
      </c>
    </row>
    <row r="84" spans="2:11" x14ac:dyDescent="0.5">
      <c r="B84" t="s">
        <v>18</v>
      </c>
      <c r="C84" s="80">
        <f t="shared" si="21"/>
        <v>2609</v>
      </c>
      <c r="D84" s="80">
        <v>2</v>
      </c>
      <c r="E84" s="80">
        <v>36</v>
      </c>
      <c r="F84" s="80">
        <v>320</v>
      </c>
      <c r="G84" s="80">
        <v>2106</v>
      </c>
      <c r="H84" s="81">
        <f t="shared" si="22"/>
        <v>2464</v>
      </c>
      <c r="I84" s="82">
        <f t="shared" si="23"/>
        <v>0.94442315063242621</v>
      </c>
      <c r="J84" s="83">
        <v>145</v>
      </c>
      <c r="K84" s="84">
        <f t="shared" si="24"/>
        <v>5.5576849367573782E-2</v>
      </c>
    </row>
    <row r="85" spans="2:11" ht="6" customHeight="1" x14ac:dyDescent="0.5">
      <c r="C85" s="80"/>
      <c r="D85" s="80"/>
      <c r="E85" s="80"/>
      <c r="F85" s="80"/>
      <c r="G85" s="80"/>
      <c r="H85" s="81"/>
      <c r="I85" s="82"/>
      <c r="J85" s="83"/>
      <c r="K85" s="84"/>
    </row>
    <row r="86" spans="2:11" x14ac:dyDescent="0.5">
      <c r="B86" s="53" t="s">
        <v>19</v>
      </c>
      <c r="C86" s="89">
        <f>H86+J86</f>
        <v>4054</v>
      </c>
      <c r="D86" s="89">
        <f>SUM(D78:D84)</f>
        <v>2</v>
      </c>
      <c r="E86" s="89">
        <f>SUM(E78:E84)</f>
        <v>86</v>
      </c>
      <c r="F86" s="89">
        <f>SUM(F78:F84)</f>
        <v>593</v>
      </c>
      <c r="G86" s="89">
        <f>SUM(G78:G84)</f>
        <v>3054</v>
      </c>
      <c r="H86" s="81">
        <f>SUM(D86:G86)</f>
        <v>3735</v>
      </c>
      <c r="I86" s="90">
        <f>H86/C86</f>
        <v>0.92131228416378885</v>
      </c>
      <c r="J86" s="91">
        <f>SUM(J78:J85)</f>
        <v>319</v>
      </c>
      <c r="K86" s="92">
        <f>J86/C86</f>
        <v>7.8687715836211147E-2</v>
      </c>
    </row>
    <row r="87" spans="2:11" x14ac:dyDescent="0.5">
      <c r="F87" s="99">
        <f>F86+G86</f>
        <v>3647</v>
      </c>
      <c r="G87" s="100"/>
    </row>
    <row r="88" spans="2:11" x14ac:dyDescent="0.5">
      <c r="F88" s="101">
        <f>F87/C86</f>
        <v>0.89960532807104099</v>
      </c>
      <c r="G88" s="101"/>
    </row>
    <row r="90" spans="2:11" x14ac:dyDescent="0.5">
      <c r="B90" s="1" t="s">
        <v>53</v>
      </c>
    </row>
    <row r="91" spans="2:11" x14ac:dyDescent="0.5">
      <c r="B91" s="1" t="s">
        <v>54</v>
      </c>
    </row>
    <row r="92" spans="2:11" x14ac:dyDescent="0.5">
      <c r="B92" s="102" t="s">
        <v>55</v>
      </c>
      <c r="H92" s="102" t="s">
        <v>56</v>
      </c>
    </row>
    <row r="94" spans="2:11" x14ac:dyDescent="0.5">
      <c r="B94" t="s">
        <v>57</v>
      </c>
    </row>
    <row r="95" spans="2:11" x14ac:dyDescent="0.5">
      <c r="C95" s="2" t="s">
        <v>58</v>
      </c>
      <c r="H95" s="3"/>
      <c r="I95"/>
      <c r="J95" s="3"/>
      <c r="K95"/>
    </row>
    <row r="96" spans="2:11" x14ac:dyDescent="0.5">
      <c r="C96" s="2" t="s">
        <v>59</v>
      </c>
      <c r="G96" s="5"/>
      <c r="H96" s="5"/>
      <c r="I96" s="5"/>
      <c r="J96" s="5"/>
      <c r="K96" s="5"/>
    </row>
    <row r="97" spans="2:11" x14ac:dyDescent="0.5">
      <c r="C97" s="2" t="s">
        <v>60</v>
      </c>
      <c r="G97" s="5"/>
      <c r="H97" s="5"/>
      <c r="I97" s="5"/>
      <c r="J97" s="5"/>
      <c r="K97" s="5"/>
    </row>
    <row r="98" spans="2:11" x14ac:dyDescent="0.5">
      <c r="C98" s="2" t="s">
        <v>61</v>
      </c>
    </row>
    <row r="100" spans="2:11" x14ac:dyDescent="0.5">
      <c r="B100" t="s">
        <v>62</v>
      </c>
    </row>
    <row r="101" spans="2:11" x14ac:dyDescent="0.5">
      <c r="C101" s="2" t="s">
        <v>63</v>
      </c>
    </row>
    <row r="102" spans="2:11" x14ac:dyDescent="0.5">
      <c r="C102" s="2" t="s">
        <v>64</v>
      </c>
    </row>
    <row r="103" spans="2:11" x14ac:dyDescent="0.5">
      <c r="C103" s="2" t="s">
        <v>65</v>
      </c>
    </row>
    <row r="104" spans="2:11" x14ac:dyDescent="0.5">
      <c r="C104" s="2" t="s">
        <v>66</v>
      </c>
    </row>
  </sheetData>
  <mergeCells count="9">
    <mergeCell ref="F70:G70"/>
    <mergeCell ref="F87:G87"/>
    <mergeCell ref="F88:G88"/>
    <mergeCell ref="D6:M6"/>
    <mergeCell ref="F34:G34"/>
    <mergeCell ref="F35:G35"/>
    <mergeCell ref="F51:G51"/>
    <mergeCell ref="F52:G52"/>
    <mergeCell ref="F69:G69"/>
  </mergeCells>
  <hyperlinks>
    <hyperlink ref="M20" r:id="rId1" xr:uid="{C0255C22-04BE-4C7F-BCE2-3B6A5498212D}"/>
    <hyperlink ref="B4" r:id="rId2" xr:uid="{14B5A264-87BB-448D-AF62-C680E80C22CB}"/>
    <hyperlink ref="B20" r:id="rId3" xr:uid="{A4EE0697-1315-49FC-A194-DC2180F38A2E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Walker</dc:creator>
  <cp:lastModifiedBy>Sarah Walker</cp:lastModifiedBy>
  <dcterms:created xsi:type="dcterms:W3CDTF">2022-10-26T07:04:17Z</dcterms:created>
  <dcterms:modified xsi:type="dcterms:W3CDTF">2022-10-26T07:06:14Z</dcterms:modified>
</cp:coreProperties>
</file>